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Addition Table" sheetId="1" r:id="rId1"/>
    <sheet name="Addition Chart" sheetId="2" r:id="rId2"/>
    <sheet name="Binding Calculation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Andrew Lea:
</t>
        </r>
      </text>
    </comment>
  </commentList>
</comments>
</file>

<file path=xl/sharedStrings.xml><?xml version="1.0" encoding="utf-8"?>
<sst xmlns="http://schemas.openxmlformats.org/spreadsheetml/2006/main" count="57" uniqueCount="46">
  <si>
    <t>SO2 REQUIRED AT DIFFERENT pH VALUES TO OBTAIN 1 mg/l MOLECULAR SO2 IN APPLE JUICE</t>
  </si>
  <si>
    <t>pH</t>
  </si>
  <si>
    <t>Hence free SO2 needed for 1 mg/l  molecular</t>
  </si>
  <si>
    <t>Total SO2 to be added (mg/l)*</t>
  </si>
  <si>
    <t>Total KMS to be used (mg/l)</t>
  </si>
  <si>
    <t>* Calculated for a juice of nominal binding composition as follows:</t>
  </si>
  <si>
    <t>log ([HSO3]/[SO2]) = pH - pK</t>
  </si>
  <si>
    <t>Binding Carbonyl</t>
  </si>
  <si>
    <t>Amount in mg/l</t>
  </si>
  <si>
    <t>where pK = 1.83 at 20 C</t>
  </si>
  <si>
    <t>Acetaldehyde</t>
  </si>
  <si>
    <t xml:space="preserve">[HSO3] = molar concentration of sulphite anion </t>
  </si>
  <si>
    <t>Pyruvate</t>
  </si>
  <si>
    <t>[SO2] = molar concentration of molecular SO2</t>
  </si>
  <si>
    <t>Alphaketoglutarate</t>
  </si>
  <si>
    <t>Free SO2 = [HSO3] + [SO2]</t>
  </si>
  <si>
    <t>L-xylosone</t>
  </si>
  <si>
    <t>Total SO2 = Free SO2 + SO2 bound to juice carbonyls</t>
  </si>
  <si>
    <t>5-keto fructose</t>
  </si>
  <si>
    <t>Xylose</t>
  </si>
  <si>
    <t>Galacturonic acid</t>
  </si>
  <si>
    <t>Glucose</t>
  </si>
  <si>
    <t>Reference Wurdig G "Chemie des Weines" pub</t>
  </si>
  <si>
    <t>Ulmer, Stuttgart 1989. ISBN 3-8001-5815-9</t>
  </si>
  <si>
    <t>Enter Variables in the Blue Boxes</t>
  </si>
  <si>
    <t>SAMPLE NAME</t>
  </si>
  <si>
    <t>Enter sample name here</t>
  </si>
  <si>
    <t>BOUND</t>
  </si>
  <si>
    <t>CARBONYL</t>
  </si>
  <si>
    <t>PPM</t>
  </si>
  <si>
    <t>MOLES</t>
  </si>
  <si>
    <t>Free SO2</t>
  </si>
  <si>
    <t>Bound SO2</t>
  </si>
  <si>
    <t>Total SO2</t>
  </si>
  <si>
    <t>Burroughs and Sparks “Sulphite Binding Powers of Wines and Ciders” Parts 1 – 3</t>
  </si>
  <si>
    <t>Journal of the Science of Food and Agriculture 1973 (24) 187-198; 199-206; 207-217.</t>
  </si>
  <si>
    <t>See “Binding Calculation” for calculation details</t>
  </si>
  <si>
    <t>TYPICAL CARBONYL CONCENTRATIONS</t>
  </si>
  <si>
    <t>Juice</t>
  </si>
  <si>
    <t>Cider</t>
  </si>
  <si>
    <t>References:</t>
  </si>
  <si>
    <t>Jarvis and Lea "Sulphite Binding in Ciders"</t>
  </si>
  <si>
    <t>International Journal of Food Science and Technology 2000 (35) 113-127</t>
  </si>
  <si>
    <t>Sulphite Binding Calculation for Juices and Ciders</t>
  </si>
  <si>
    <t># Calculated from the published equilibrium</t>
  </si>
  <si>
    <t>% molecular SO2 from equilibrium#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</si>
</sst>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E+00_)"/>
    <numFmt numFmtId="166" formatCode="0.0_)"/>
  </numFmts>
  <fonts count="48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name val="Courier New"/>
      <family val="3"/>
    </font>
    <font>
      <b/>
      <sz val="10"/>
      <color indexed="62"/>
      <name val="Courier New"/>
      <family val="3"/>
    </font>
    <font>
      <sz val="10"/>
      <color indexed="12"/>
      <name val="Courier New"/>
      <family val="3"/>
    </font>
    <font>
      <b/>
      <sz val="10"/>
      <color indexed="10"/>
      <name val="Courier New"/>
      <family val="3"/>
    </font>
    <font>
      <sz val="10"/>
      <name val="Courier New"/>
      <family val="3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Sulphite Addition Chart for Apple Juice Before Fermentation
(assuming typical binding components)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075"/>
          <c:w val="0.94625"/>
          <c:h val="0.73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'Addition Table'!$D$5</c:f>
              <c:strCache>
                <c:ptCount val="1"/>
                <c:pt idx="0">
                  <c:v>Hence free SO2 needed for 1 mg/l  molecular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'Addition Table'!$B$6:$B$18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3.1</c:v>
                </c:pt>
                <c:pt idx="4">
                  <c:v>3.2</c:v>
                </c:pt>
                <c:pt idx="5">
                  <c:v>3.3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3.7</c:v>
                </c:pt>
                <c:pt idx="10">
                  <c:v>3.8</c:v>
                </c:pt>
                <c:pt idx="11">
                  <c:v>3.9</c:v>
                </c:pt>
                <c:pt idx="12">
                  <c:v>4</c:v>
                </c:pt>
              </c:numCache>
            </c:numRef>
          </c:cat>
          <c:val>
            <c:numRef>
              <c:f>'Addition Table'!$D$6:$D$18</c:f>
              <c:numCache>
                <c:ptCount val="13"/>
                <c:pt idx="0">
                  <c:v>10.341261633919338</c:v>
                </c:pt>
                <c:pt idx="1">
                  <c:v>12.77139208173691</c:v>
                </c:pt>
                <c:pt idx="2">
                  <c:v>15.797788309636651</c:v>
                </c:pt>
                <c:pt idx="3">
                  <c:v>19.68503937007874</c:v>
                </c:pt>
                <c:pt idx="4">
                  <c:v>24.509803921568626</c:v>
                </c:pt>
                <c:pt idx="5">
                  <c:v>30.581039755351682</c:v>
                </c:pt>
                <c:pt idx="6">
                  <c:v>38.167938931297705</c:v>
                </c:pt>
                <c:pt idx="7">
                  <c:v>47.84688995215311</c:v>
                </c:pt>
                <c:pt idx="8">
                  <c:v>59.880239520958085</c:v>
                </c:pt>
                <c:pt idx="9">
                  <c:v>75.18796992481202</c:v>
                </c:pt>
                <c:pt idx="10">
                  <c:v>94.33962264150944</c:v>
                </c:pt>
                <c:pt idx="11">
                  <c:v>119.04761904761905</c:v>
                </c:pt>
                <c:pt idx="12">
                  <c:v>149.25373134328356</c:v>
                </c:pt>
              </c:numCache>
            </c:numRef>
          </c:val>
        </c:ser>
        <c:ser>
          <c:idx val="3"/>
          <c:order val="1"/>
          <c:tx>
            <c:strRef>
              <c:f>'Addition Table'!$E$5</c:f>
              <c:strCache>
                <c:ptCount val="1"/>
                <c:pt idx="0">
                  <c:v>Total SO2 to be added (mg/l)*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'Addition Table'!$B$6:$B$18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3</c:v>
                </c:pt>
                <c:pt idx="3">
                  <c:v>3.1</c:v>
                </c:pt>
                <c:pt idx="4">
                  <c:v>3.2</c:v>
                </c:pt>
                <c:pt idx="5">
                  <c:v>3.3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3.7</c:v>
                </c:pt>
                <c:pt idx="10">
                  <c:v>3.8</c:v>
                </c:pt>
                <c:pt idx="11">
                  <c:v>3.9</c:v>
                </c:pt>
                <c:pt idx="12">
                  <c:v>4</c:v>
                </c:pt>
              </c:numCache>
            </c:numRef>
          </c:cat>
          <c:val>
            <c:numRef>
              <c:f>'Addition Table'!$E$6:$E$18</c:f>
              <c:numCache>
                <c:ptCount val="13"/>
                <c:pt idx="0">
                  <c:v>30</c:v>
                </c:pt>
                <c:pt idx="1">
                  <c:v>36</c:v>
                </c:pt>
                <c:pt idx="2">
                  <c:v>42</c:v>
                </c:pt>
                <c:pt idx="3">
                  <c:v>50</c:v>
                </c:pt>
                <c:pt idx="4">
                  <c:v>60</c:v>
                </c:pt>
                <c:pt idx="5">
                  <c:v>72</c:v>
                </c:pt>
                <c:pt idx="6">
                  <c:v>85</c:v>
                </c:pt>
                <c:pt idx="7">
                  <c:v>103</c:v>
                </c:pt>
                <c:pt idx="8">
                  <c:v>125</c:v>
                </c:pt>
                <c:pt idx="9">
                  <c:v>151</c:v>
                </c:pt>
                <c:pt idx="10">
                  <c:v>184</c:v>
                </c:pt>
                <c:pt idx="11">
                  <c:v>227</c:v>
                </c:pt>
                <c:pt idx="12">
                  <c:v>276</c:v>
                </c:pt>
              </c:numCache>
            </c:numRef>
          </c:val>
        </c:ser>
        <c:axId val="34365614"/>
        <c:axId val="40855071"/>
      </c:bar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9235"/>
          <c:w val="0.719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0.37375</cdr:y>
    </cdr:from>
    <cdr:to>
      <cdr:x>0.99075</cdr:x>
      <cdr:y>0.37375</cdr:y>
    </cdr:to>
    <cdr:sp>
      <cdr:nvSpPr>
        <cdr:cNvPr id="1" name="Line 1"/>
        <cdr:cNvSpPr>
          <a:spLocks/>
        </cdr:cNvSpPr>
      </cdr:nvSpPr>
      <cdr:spPr>
        <a:xfrm>
          <a:off x="809625" y="2124075"/>
          <a:ext cx="83915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7.7109375" style="0" customWidth="1"/>
    <col min="3" max="3" width="14.7109375" style="0" customWidth="1"/>
    <col min="4" max="4" width="15.7109375" style="0" customWidth="1"/>
    <col min="5" max="5" width="14.00390625" style="0" customWidth="1"/>
    <col min="6" max="6" width="10.7109375" style="0" customWidth="1"/>
  </cols>
  <sheetData>
    <row r="1" ht="12.75">
      <c r="A1" s="1"/>
    </row>
    <row r="2" ht="12.75">
      <c r="A2" s="1" t="s">
        <v>0</v>
      </c>
    </row>
    <row r="5" spans="2:6" ht="51">
      <c r="B5" s="2" t="s">
        <v>1</v>
      </c>
      <c r="C5" s="2" t="s">
        <v>45</v>
      </c>
      <c r="D5" s="2" t="s">
        <v>2</v>
      </c>
      <c r="E5" s="2" t="s">
        <v>3</v>
      </c>
      <c r="F5" s="2" t="s">
        <v>4</v>
      </c>
    </row>
    <row r="6" spans="2:6" ht="12.75">
      <c r="B6" s="3">
        <v>2.8</v>
      </c>
      <c r="C6" s="4">
        <v>9.67</v>
      </c>
      <c r="D6" s="5">
        <f aca="true" t="shared" si="0" ref="D6:D20">100/C6</f>
        <v>10.341261633919338</v>
      </c>
      <c r="E6" s="5">
        <v>30</v>
      </c>
      <c r="F6" s="5">
        <f aca="true" t="shared" si="1" ref="F6:F20">E6*2</f>
        <v>60</v>
      </c>
    </row>
    <row r="7" spans="2:6" ht="12.75">
      <c r="B7" s="3">
        <v>2.9</v>
      </c>
      <c r="C7" s="4">
        <v>7.83</v>
      </c>
      <c r="D7" s="5">
        <f t="shared" si="0"/>
        <v>12.77139208173691</v>
      </c>
      <c r="E7" s="5">
        <v>36</v>
      </c>
      <c r="F7" s="5">
        <f t="shared" si="1"/>
        <v>72</v>
      </c>
    </row>
    <row r="8" spans="2:6" ht="12.75">
      <c r="B8" s="3">
        <v>3</v>
      </c>
      <c r="C8" s="4">
        <v>6.33</v>
      </c>
      <c r="D8" s="5">
        <f t="shared" si="0"/>
        <v>15.797788309636651</v>
      </c>
      <c r="E8" s="5">
        <v>42</v>
      </c>
      <c r="F8" s="5">
        <f t="shared" si="1"/>
        <v>84</v>
      </c>
    </row>
    <row r="9" spans="2:6" ht="12.75">
      <c r="B9" s="3">
        <v>3.1</v>
      </c>
      <c r="C9" s="4">
        <v>5.08</v>
      </c>
      <c r="D9" s="5">
        <f t="shared" si="0"/>
        <v>19.68503937007874</v>
      </c>
      <c r="E9" s="5">
        <v>50</v>
      </c>
      <c r="F9" s="5">
        <f t="shared" si="1"/>
        <v>100</v>
      </c>
    </row>
    <row r="10" spans="2:6" ht="12.75">
      <c r="B10" s="3">
        <v>3.2</v>
      </c>
      <c r="C10" s="4">
        <v>4.08</v>
      </c>
      <c r="D10" s="5">
        <f t="shared" si="0"/>
        <v>24.509803921568626</v>
      </c>
      <c r="E10" s="5">
        <v>60</v>
      </c>
      <c r="F10" s="5">
        <f t="shared" si="1"/>
        <v>120</v>
      </c>
    </row>
    <row r="11" spans="2:6" ht="12.75">
      <c r="B11" s="3">
        <v>3.3</v>
      </c>
      <c r="C11" s="4">
        <v>3.27</v>
      </c>
      <c r="D11" s="5">
        <f t="shared" si="0"/>
        <v>30.581039755351682</v>
      </c>
      <c r="E11" s="5">
        <v>72</v>
      </c>
      <c r="F11" s="5">
        <f t="shared" si="1"/>
        <v>144</v>
      </c>
    </row>
    <row r="12" spans="2:6" ht="12.75">
      <c r="B12" s="3">
        <v>3.4</v>
      </c>
      <c r="C12" s="4">
        <v>2.62</v>
      </c>
      <c r="D12" s="5">
        <f t="shared" si="0"/>
        <v>38.167938931297705</v>
      </c>
      <c r="E12" s="5">
        <v>85</v>
      </c>
      <c r="F12" s="5">
        <f t="shared" si="1"/>
        <v>170</v>
      </c>
    </row>
    <row r="13" spans="2:6" ht="12.75">
      <c r="B13" s="3">
        <v>3.5</v>
      </c>
      <c r="C13" s="4">
        <v>2.09</v>
      </c>
      <c r="D13" s="5">
        <f t="shared" si="0"/>
        <v>47.84688995215311</v>
      </c>
      <c r="E13" s="5">
        <v>103</v>
      </c>
      <c r="F13" s="5">
        <f t="shared" si="1"/>
        <v>206</v>
      </c>
    </row>
    <row r="14" spans="2:6" ht="12.75">
      <c r="B14" s="3">
        <v>3.6</v>
      </c>
      <c r="C14" s="4">
        <v>1.67</v>
      </c>
      <c r="D14" s="5">
        <f t="shared" si="0"/>
        <v>59.880239520958085</v>
      </c>
      <c r="E14" s="5">
        <v>125</v>
      </c>
      <c r="F14" s="5">
        <f t="shared" si="1"/>
        <v>250</v>
      </c>
    </row>
    <row r="15" spans="2:6" ht="12.75">
      <c r="B15" s="3">
        <v>3.7</v>
      </c>
      <c r="C15" s="4">
        <v>1.33</v>
      </c>
      <c r="D15" s="5">
        <f t="shared" si="0"/>
        <v>75.18796992481202</v>
      </c>
      <c r="E15" s="5">
        <v>151</v>
      </c>
      <c r="F15" s="5">
        <f t="shared" si="1"/>
        <v>302</v>
      </c>
    </row>
    <row r="16" spans="2:6" ht="12.75">
      <c r="B16" s="3">
        <v>3.8</v>
      </c>
      <c r="C16" s="4">
        <v>1.06</v>
      </c>
      <c r="D16" s="5">
        <f t="shared" si="0"/>
        <v>94.33962264150944</v>
      </c>
      <c r="E16" s="5">
        <v>184</v>
      </c>
      <c r="F16" s="5">
        <f t="shared" si="1"/>
        <v>368</v>
      </c>
    </row>
    <row r="17" spans="2:6" ht="12.75">
      <c r="B17" s="3">
        <v>3.9</v>
      </c>
      <c r="C17" s="4">
        <v>0.84</v>
      </c>
      <c r="D17" s="5">
        <f t="shared" si="0"/>
        <v>119.04761904761905</v>
      </c>
      <c r="E17" s="5">
        <v>227</v>
      </c>
      <c r="F17" s="5">
        <f t="shared" si="1"/>
        <v>454</v>
      </c>
    </row>
    <row r="18" spans="2:6" ht="12.75">
      <c r="B18" s="3">
        <v>4</v>
      </c>
      <c r="C18" s="4">
        <v>0.67</v>
      </c>
      <c r="D18" s="5">
        <f t="shared" si="0"/>
        <v>149.25373134328356</v>
      </c>
      <c r="E18" s="5">
        <v>276</v>
      </c>
      <c r="F18" s="5">
        <f t="shared" si="1"/>
        <v>552</v>
      </c>
    </row>
    <row r="19" spans="2:6" ht="12.75">
      <c r="B19" s="3">
        <v>4.1</v>
      </c>
      <c r="C19" s="4">
        <v>0.53</v>
      </c>
      <c r="D19" s="5">
        <f t="shared" si="0"/>
        <v>188.67924528301887</v>
      </c>
      <c r="E19" s="5">
        <v>341</v>
      </c>
      <c r="F19" s="5">
        <f t="shared" si="1"/>
        <v>682</v>
      </c>
    </row>
    <row r="20" spans="2:6" ht="12.75">
      <c r="B20" s="3">
        <v>4.2</v>
      </c>
      <c r="C20" s="4">
        <v>0.42</v>
      </c>
      <c r="D20" s="5">
        <f t="shared" si="0"/>
        <v>238.0952380952381</v>
      </c>
      <c r="E20" s="5">
        <v>420</v>
      </c>
      <c r="F20" s="5">
        <f t="shared" si="1"/>
        <v>840</v>
      </c>
    </row>
    <row r="23" spans="2:6" ht="12.75">
      <c r="B23" t="s">
        <v>44</v>
      </c>
      <c r="F23" t="s">
        <v>5</v>
      </c>
    </row>
    <row r="25" spans="2:8" ht="12.75">
      <c r="B25" t="s">
        <v>6</v>
      </c>
      <c r="F25" s="1" t="s">
        <v>7</v>
      </c>
      <c r="G25" s="1"/>
      <c r="H25" s="1" t="s">
        <v>8</v>
      </c>
    </row>
    <row r="27" spans="2:8" ht="12.75">
      <c r="B27" t="s">
        <v>9</v>
      </c>
      <c r="F27" t="s">
        <v>10</v>
      </c>
      <c r="H27">
        <v>5</v>
      </c>
    </row>
    <row r="28" spans="2:8" ht="12.75">
      <c r="B28" t="s">
        <v>11</v>
      </c>
      <c r="F28" t="s">
        <v>12</v>
      </c>
      <c r="H28">
        <v>5</v>
      </c>
    </row>
    <row r="29" spans="2:8" ht="12.75">
      <c r="B29" t="s">
        <v>13</v>
      </c>
      <c r="F29" t="s">
        <v>14</v>
      </c>
      <c r="H29">
        <v>5</v>
      </c>
    </row>
    <row r="30" spans="2:8" ht="12.75">
      <c r="B30" t="s">
        <v>15</v>
      </c>
      <c r="F30" t="s">
        <v>16</v>
      </c>
      <c r="H30">
        <v>75</v>
      </c>
    </row>
    <row r="31" spans="2:8" ht="12.75">
      <c r="B31" t="s">
        <v>17</v>
      </c>
      <c r="F31" t="s">
        <v>18</v>
      </c>
      <c r="H31">
        <v>5</v>
      </c>
    </row>
    <row r="32" spans="6:8" ht="12.75">
      <c r="F32" t="s">
        <v>19</v>
      </c>
      <c r="H32">
        <v>500</v>
      </c>
    </row>
    <row r="33" spans="6:8" ht="12.75">
      <c r="F33" t="s">
        <v>20</v>
      </c>
      <c r="H33">
        <v>1000</v>
      </c>
    </row>
    <row r="34" spans="6:8" ht="12.75">
      <c r="F34" t="s">
        <v>21</v>
      </c>
      <c r="H34">
        <v>40000</v>
      </c>
    </row>
    <row r="35" ht="12.75">
      <c r="B35" t="s">
        <v>22</v>
      </c>
    </row>
    <row r="36" spans="2:6" ht="12.75">
      <c r="B36" t="s">
        <v>23</v>
      </c>
      <c r="F36" t="s">
        <v>36</v>
      </c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H24" sqref="H24"/>
    </sheetView>
  </sheetViews>
  <sheetFormatPr defaultColWidth="9.140625" defaultRowHeight="12.75"/>
  <sheetData>
    <row r="1" spans="1:3" ht="13.5">
      <c r="A1" s="6" t="s">
        <v>43</v>
      </c>
      <c r="B1" s="7"/>
      <c r="C1" s="7"/>
    </row>
    <row r="2" ht="12.75">
      <c r="A2" s="8"/>
    </row>
    <row r="3" spans="1:3" ht="13.5">
      <c r="A3" s="9" t="s">
        <v>24</v>
      </c>
      <c r="B3" s="10"/>
      <c r="C3" s="10"/>
    </row>
    <row r="4" ht="12.75">
      <c r="A4" s="8"/>
    </row>
    <row r="6" spans="1:5" ht="13.5">
      <c r="A6" s="6" t="s">
        <v>25</v>
      </c>
      <c r="B6" s="7"/>
      <c r="C6" s="24" t="s">
        <v>26</v>
      </c>
      <c r="D6" s="24"/>
      <c r="E6" s="24"/>
    </row>
    <row r="7" ht="13.5" thickTop="1"/>
    <row r="8" spans="4:12" ht="13.5">
      <c r="D8" s="7"/>
      <c r="E8" s="7"/>
      <c r="F8" s="11" t="s">
        <v>27</v>
      </c>
      <c r="G8" s="11" t="s">
        <v>27</v>
      </c>
      <c r="I8" s="25" t="s">
        <v>37</v>
      </c>
      <c r="J8" s="26"/>
      <c r="K8" s="26"/>
      <c r="L8" s="21"/>
    </row>
    <row r="9" spans="1:12" ht="13.5">
      <c r="A9" s="6" t="s">
        <v>28</v>
      </c>
      <c r="D9" s="11" t="s">
        <v>29</v>
      </c>
      <c r="E9" s="11" t="s">
        <v>30</v>
      </c>
      <c r="F9" s="11" t="s">
        <v>30</v>
      </c>
      <c r="G9" s="11" t="s">
        <v>29</v>
      </c>
      <c r="I9" s="26"/>
      <c r="J9" s="26"/>
      <c r="K9" s="26"/>
      <c r="L9" s="22"/>
    </row>
    <row r="10" spans="9:12" ht="14.25" thickBot="1">
      <c r="I10" s="19" t="s">
        <v>38</v>
      </c>
      <c r="J10" s="20"/>
      <c r="K10" s="19" t="s">
        <v>39</v>
      </c>
      <c r="L10" s="23"/>
    </row>
    <row r="11" spans="1:12" ht="14.25" thickTop="1">
      <c r="A11" s="8" t="s">
        <v>10</v>
      </c>
      <c r="D11" s="12">
        <v>5</v>
      </c>
      <c r="E11" s="13">
        <f>(D11/44000)</f>
        <v>0.00011363636363636364</v>
      </c>
      <c r="F11" s="13">
        <f>((E11)/((0.0000015/E20)+1))</f>
        <v>0.00011340954454726909</v>
      </c>
      <c r="G11" s="14">
        <f aca="true" t="shared" si="0" ref="G11:G18">(F11*6.4*10000)</f>
        <v>7.258210851025222</v>
      </c>
      <c r="I11" s="20">
        <v>5</v>
      </c>
      <c r="J11" s="20"/>
      <c r="K11" s="20">
        <v>25</v>
      </c>
      <c r="L11" s="23"/>
    </row>
    <row r="12" spans="1:12" ht="13.5">
      <c r="A12" s="8" t="s">
        <v>12</v>
      </c>
      <c r="D12" s="15">
        <v>5</v>
      </c>
      <c r="E12" s="13">
        <f>(D12/88000)</f>
        <v>5.681818181818182E-05</v>
      </c>
      <c r="F12" s="13">
        <f>((E12)/((0.00016/E20)+1))</f>
        <v>4.682817182817183E-05</v>
      </c>
      <c r="G12" s="14">
        <f t="shared" si="0"/>
        <v>2.997002997002997</v>
      </c>
      <c r="I12" s="20">
        <v>5</v>
      </c>
      <c r="J12" s="20"/>
      <c r="K12" s="20">
        <v>20</v>
      </c>
      <c r="L12" s="23"/>
    </row>
    <row r="13" spans="1:12" ht="13.5">
      <c r="A13" s="8" t="s">
        <v>14</v>
      </c>
      <c r="D13" s="15">
        <v>5</v>
      </c>
      <c r="E13" s="13">
        <f>(D13/146000)</f>
        <v>3.424657534246575E-05</v>
      </c>
      <c r="F13" s="13">
        <f>((E13)/((0.00056/E20)+1))</f>
        <v>1.9606817944159783E-05</v>
      </c>
      <c r="G13" s="14">
        <f t="shared" si="0"/>
        <v>1.2548363484262262</v>
      </c>
      <c r="I13" s="20">
        <v>5</v>
      </c>
      <c r="J13" s="20"/>
      <c r="K13" s="20">
        <v>15</v>
      </c>
      <c r="L13" s="23"/>
    </row>
    <row r="14" spans="1:12" ht="13.5">
      <c r="A14" s="8" t="s">
        <v>16</v>
      </c>
      <c r="D14" s="15">
        <v>75</v>
      </c>
      <c r="E14" s="13">
        <f>(D14/148000)</f>
        <v>0.0005067567567567568</v>
      </c>
      <c r="F14" s="13">
        <f>((E14)/((0.0014/E20)+1))</f>
        <v>0.00017677561282212445</v>
      </c>
      <c r="G14" s="14">
        <f t="shared" si="0"/>
        <v>11.313639220615967</v>
      </c>
      <c r="I14" s="20">
        <v>75</v>
      </c>
      <c r="J14" s="20"/>
      <c r="K14" s="20">
        <v>20</v>
      </c>
      <c r="L14" s="23"/>
    </row>
    <row r="15" spans="1:12" ht="13.5">
      <c r="A15" s="8" t="s">
        <v>18</v>
      </c>
      <c r="D15" s="15">
        <v>5</v>
      </c>
      <c r="E15" s="13">
        <f>(D15/181000)</f>
        <v>2.7624309392265193E-05</v>
      </c>
      <c r="F15" s="13">
        <f>((E15)/((0.00034/E20)+1))</f>
        <v>1.9007552334127426E-05</v>
      </c>
      <c r="G15" s="14">
        <f t="shared" si="0"/>
        <v>1.2164833493841554</v>
      </c>
      <c r="I15" s="20">
        <v>5</v>
      </c>
      <c r="J15" s="20"/>
      <c r="K15" s="20">
        <v>5</v>
      </c>
      <c r="L15" s="23"/>
    </row>
    <row r="16" spans="1:12" ht="13.5">
      <c r="A16" s="8" t="s">
        <v>19</v>
      </c>
      <c r="D16" s="15">
        <v>500</v>
      </c>
      <c r="E16" s="13">
        <f>(D16/148000)</f>
        <v>0.0033783783783783786</v>
      </c>
      <c r="F16" s="13">
        <f>((E16)/((0.069/E20)+1))</f>
        <v>3.632664922987504E-05</v>
      </c>
      <c r="G16" s="14">
        <f t="shared" si="0"/>
        <v>2.3249055507120024</v>
      </c>
      <c r="I16" s="20">
        <v>500</v>
      </c>
      <c r="J16" s="20"/>
      <c r="K16" s="20">
        <v>500</v>
      </c>
      <c r="L16" s="23"/>
    </row>
    <row r="17" spans="1:12" ht="13.5">
      <c r="A17" s="8" t="s">
        <v>20</v>
      </c>
      <c r="D17" s="15">
        <v>1000</v>
      </c>
      <c r="E17" s="13">
        <f>(D17/212000)</f>
        <v>0.0047169811320754715</v>
      </c>
      <c r="F17" s="13">
        <f>((E17)/((0.018/E20)+1))</f>
        <v>0.00018867924528301889</v>
      </c>
      <c r="G17" s="14">
        <f t="shared" si="0"/>
        <v>12.07547169811321</v>
      </c>
      <c r="I17" s="20">
        <v>1000</v>
      </c>
      <c r="J17" s="20"/>
      <c r="K17" s="20">
        <v>1000</v>
      </c>
      <c r="L17" s="23"/>
    </row>
    <row r="18" spans="1:12" ht="14.25" thickBot="1">
      <c r="A18" s="8" t="s">
        <v>21</v>
      </c>
      <c r="D18" s="16">
        <v>40000</v>
      </c>
      <c r="E18" s="13">
        <f>(D18/181000)</f>
        <v>0.22099447513812154</v>
      </c>
      <c r="F18" s="13">
        <f>((E18)/((0.64/E20)+1))</f>
        <v>0.00025867476606100843</v>
      </c>
      <c r="G18" s="14">
        <f t="shared" si="0"/>
        <v>16.555185027904542</v>
      </c>
      <c r="I18" s="20">
        <v>40000</v>
      </c>
      <c r="J18" s="20"/>
      <c r="K18" s="20">
        <v>100</v>
      </c>
      <c r="L18" s="23"/>
    </row>
    <row r="19" spans="4:7" ht="15" thickBot="1" thickTop="1">
      <c r="D19" s="17"/>
      <c r="E19" s="13"/>
      <c r="F19" s="13"/>
      <c r="G19" s="14"/>
    </row>
    <row r="20" spans="1:7" ht="13.5">
      <c r="A20" s="6" t="s">
        <v>31</v>
      </c>
      <c r="D20" s="18">
        <v>48</v>
      </c>
      <c r="E20" s="13">
        <f>(D20/64000)</f>
        <v>0.00075</v>
      </c>
      <c r="F20" s="13"/>
      <c r="G20" s="14">
        <f>(D20)</f>
        <v>48</v>
      </c>
    </row>
    <row r="21" spans="1:7" ht="13.5">
      <c r="A21" s="7"/>
      <c r="G21" s="14"/>
    </row>
    <row r="22" spans="1:7" ht="13.5">
      <c r="A22" s="6" t="s">
        <v>32</v>
      </c>
      <c r="G22" s="14">
        <f>SUM(G11:G18)</f>
        <v>54.995735043184325</v>
      </c>
    </row>
    <row r="23" spans="1:7" ht="13.5">
      <c r="A23" s="7"/>
      <c r="G23" s="14"/>
    </row>
    <row r="24" spans="1:7" ht="13.5">
      <c r="A24" s="6" t="s">
        <v>33</v>
      </c>
      <c r="G24" s="14">
        <f>(G20+G22)</f>
        <v>102.99573504318433</v>
      </c>
    </row>
    <row r="27" ht="12.75">
      <c r="A27" t="s">
        <v>40</v>
      </c>
    </row>
    <row r="28" ht="12.75">
      <c r="A28" t="s">
        <v>34</v>
      </c>
    </row>
    <row r="29" ht="12.75">
      <c r="A29" t="s">
        <v>35</v>
      </c>
    </row>
    <row r="31" ht="12.75">
      <c r="A31" t="s">
        <v>41</v>
      </c>
    </row>
    <row r="32" ht="12.75">
      <c r="A32" t="s">
        <v>42</v>
      </c>
    </row>
  </sheetData>
  <sheetProtection sheet="1" objects="1" scenarios="1"/>
  <mergeCells count="2">
    <mergeCell ref="C6:E6"/>
    <mergeCell ref="I8:K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Lea</cp:lastModifiedBy>
  <dcterms:created xsi:type="dcterms:W3CDTF">2006-11-23T13:42:48Z</dcterms:created>
  <dcterms:modified xsi:type="dcterms:W3CDTF">2011-05-05T18:12:10Z</dcterms:modified>
  <cp:category/>
  <cp:version/>
  <cp:contentType/>
  <cp:contentStatus/>
</cp:coreProperties>
</file>